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" windowWidth="21980" windowHeight="13580" tabRatio="601" activeTab="0"/>
  </bookViews>
  <sheets>
    <sheet name="Fleet" sheetId="1" r:id="rId1"/>
    <sheet name="Prod" sheetId="2" r:id="rId2"/>
    <sheet name="AutoDATA" sheetId="3" r:id="rId3"/>
    <sheet name="US" sheetId="4" r:id="rId4"/>
    <sheet name="Parking" sheetId="5" r:id="rId5"/>
    <sheet name="US-&gt;EUandJapan" sheetId="6" r:id="rId6"/>
    <sheet name="IndiaChina" sheetId="7" r:id="rId7"/>
  </sheets>
  <definedNames>
    <definedName name="__123Graph_A" hidden="1">'AutoDATA'!#REF!</definedName>
    <definedName name="__123Graph_AAUTOS-CH" hidden="1">'AutoDATA'!#REF!</definedName>
    <definedName name="__123Graph_APEOPLEPERAUTO" hidden="1">'AutoDATA'!#REF!</definedName>
    <definedName name="__123Graph_APROD-USCH" hidden="1">'AutoDATA'!#REF!</definedName>
    <definedName name="__123Graph_AWORLDFLEET" hidden="1">'AutoDATA'!#REF!</definedName>
    <definedName name="__123Graph_AWORLDPRODUCTIO" hidden="1">'AutoDATA'!$B$8:$B$55</definedName>
    <definedName name="__123Graph_BPROD-USCH" hidden="1">'AutoDATA'!#REF!</definedName>
    <definedName name="__123Graph_BWORLDFLEET" hidden="1">'AutoDATA'!#REF!</definedName>
    <definedName name="__123Graph_X" hidden="1">'AutoDATA'!$A$8:$A$55</definedName>
    <definedName name="__123Graph_XAUTOS-CH" hidden="1">'AutoDATA'!#REF!</definedName>
    <definedName name="__123Graph_XPEOPLEPERAUTO" hidden="1">'AutoDATA'!$A$8:$A$55</definedName>
    <definedName name="__123Graph_XPROD-USCH" hidden="1">'AutoDATA'!#REF!</definedName>
    <definedName name="__123Graph_XWORLDFLEET" hidden="1">'AutoDATA'!#REF!</definedName>
    <definedName name="__123Graph_XWORLDPRODUCTIO" hidden="1">'AutoDATA'!$A$8:$A$55</definedName>
    <definedName name="_Fill" hidden="1">'AutoDATA'!$A$8:$A$58</definedName>
    <definedName name="_Regression_Int" localSheetId="2" hidden="1">1</definedName>
    <definedName name="_xlnm.Print_Area" localSheetId="2">'AutoDATA'!$A$1:$D$60</definedName>
    <definedName name="_xlnm.Print_Area" localSheetId="4">'Parking'!$A$1:$G$12</definedName>
    <definedName name="_xlnm.Print_Area" localSheetId="3">'US'!$A$1:$I$34</definedName>
    <definedName name="_xlnm.Print_Area" localSheetId="5">'US-&gt;EUandJapan'!$A$1:$G$23</definedName>
    <definedName name="T">'AutoDATA'!#REF!</definedName>
  </definedNames>
  <calcPr fullCalcOnLoad="1"/>
</workbook>
</file>

<file path=xl/sharedStrings.xml><?xml version="1.0" encoding="utf-8"?>
<sst xmlns="http://schemas.openxmlformats.org/spreadsheetml/2006/main" count="148" uniqueCount="96">
  <si>
    <t>For more information from Earth Policy Institute, see www.earthpolicy.org.</t>
  </si>
  <si>
    <t>million</t>
  </si>
  <si>
    <t>World Automobile Production and Fleet, 1950-1999</t>
  </si>
  <si>
    <t>estimated right-of-way width from David Walterscheid, US Federal Highway Administration Real Estate Office.</t>
  </si>
  <si>
    <r>
      <t xml:space="preserve">cited in Todd Litman, </t>
    </r>
    <r>
      <rPr>
        <i/>
        <sz val="10"/>
        <rFont val="Arial"/>
        <family val="2"/>
      </rPr>
      <t>Transportation Land Valuation</t>
    </r>
    <r>
      <rPr>
        <sz val="10"/>
        <rFont val="Arial"/>
        <family val="0"/>
      </rPr>
      <t xml:space="preserve"> (Victoria, BC: Victoria Transport Policy Institute, November 2000);</t>
    </r>
  </si>
  <si>
    <t xml:space="preserve">Calculated by Janet Larsen, Worldwatch Institute, using road length statistics from the United States Department of </t>
  </si>
  <si>
    <r>
      <t xml:space="preserve">Sources: Vehicle fleet size from </t>
    </r>
    <r>
      <rPr>
        <i/>
        <sz val="14"/>
        <rFont val="Arial"/>
        <family val="2"/>
      </rPr>
      <t>Ward's World Motor Vehicle Data 2000</t>
    </r>
    <r>
      <rPr>
        <sz val="14"/>
        <rFont val="Arial"/>
        <family val="2"/>
      </rPr>
      <t>;</t>
    </r>
  </si>
  <si>
    <r>
      <t xml:space="preserve">Sources: Population from United Nations, </t>
    </r>
    <r>
      <rPr>
        <i/>
        <sz val="11"/>
        <rFont val="Arial"/>
        <family val="2"/>
      </rPr>
      <t xml:space="preserve">World Population Prospects: The 1998 Revision </t>
    </r>
    <r>
      <rPr>
        <sz val="11"/>
        <rFont val="Arial"/>
        <family val="2"/>
      </rPr>
      <t>(New York: 1998);</t>
    </r>
  </si>
  <si>
    <r>
      <t>Highway Statistics 1999</t>
    </r>
    <r>
      <rPr>
        <sz val="11"/>
        <rFont val="Arial"/>
        <family val="2"/>
      </rPr>
      <t xml:space="preserve"> (Washington, DC: 2000), and the CIA;</t>
    </r>
  </si>
  <si>
    <r>
      <t xml:space="preserve">vehicle fleet size from </t>
    </r>
    <r>
      <rPr>
        <i/>
        <sz val="11"/>
        <rFont val="Arial"/>
        <family val="2"/>
      </rPr>
      <t>Ward's World Motor Vehicle Data 2000</t>
    </r>
    <r>
      <rPr>
        <sz val="11"/>
        <rFont val="Arial"/>
        <family val="2"/>
      </rPr>
      <t>.</t>
    </r>
  </si>
  <si>
    <t xml:space="preserve">land area per parking space from Dr. Jeff Kenworthy, Associate Professor in Sustainable Settlements, </t>
  </si>
  <si>
    <r>
      <t xml:space="preserve">land area from United States Central Intelligence Agency (CIA), </t>
    </r>
    <r>
      <rPr>
        <i/>
        <sz val="11"/>
        <rFont val="Arial"/>
        <family val="2"/>
      </rPr>
      <t>The World Factbook 2000</t>
    </r>
    <r>
      <rPr>
        <sz val="11"/>
        <rFont val="Arial"/>
        <family val="2"/>
      </rPr>
      <t xml:space="preserve"> (Washington, DC: 2000);</t>
    </r>
  </si>
  <si>
    <t>road length from U.S. Department of Transportation Federal Highway Administration,</t>
  </si>
  <si>
    <r>
      <t xml:space="preserve">Sources: Population from United Nations, </t>
    </r>
    <r>
      <rPr>
        <i/>
        <sz val="14"/>
        <rFont val="Arial"/>
        <family val="2"/>
      </rPr>
      <t xml:space="preserve">World Population Prospects: The 1998 Revision </t>
    </r>
    <r>
      <rPr>
        <sz val="14"/>
        <rFont val="Arial"/>
        <family val="2"/>
      </rPr>
      <t>(New York: 1998);</t>
    </r>
  </si>
  <si>
    <r>
      <t xml:space="preserve">vehicle fleet size from </t>
    </r>
    <r>
      <rPr>
        <i/>
        <sz val="14"/>
        <rFont val="Arial"/>
        <family val="2"/>
      </rPr>
      <t>Ward's World Motor Vehicle Data 2000</t>
    </r>
    <r>
      <rPr>
        <sz val="14"/>
        <rFont val="Arial"/>
        <family val="2"/>
      </rPr>
      <t>.</t>
    </r>
  </si>
  <si>
    <r>
      <t xml:space="preserve">land area and road length from United States Central Intelligence Agency (CIA), </t>
    </r>
    <r>
      <rPr>
        <i/>
        <sz val="14"/>
        <rFont val="Arial"/>
        <family val="2"/>
      </rPr>
      <t>The World Factbook 2000</t>
    </r>
    <r>
      <rPr>
        <sz val="14"/>
        <rFont val="Arial"/>
        <family val="2"/>
      </rPr>
      <t xml:space="preserve"> (Washington, DC: 2000);</t>
    </r>
  </si>
  <si>
    <t>Compiled by Worldwatch Institute from American Automobile Manufacturers Association,</t>
  </si>
  <si>
    <r>
      <t>World Motor Vehicle Data</t>
    </r>
    <r>
      <rPr>
        <sz val="10"/>
        <rFont val="Arial"/>
        <family val="0"/>
      </rPr>
      <t xml:space="preserve"> and Standard &amp; Poor's DRI.</t>
    </r>
  </si>
  <si>
    <t>Conversions:</t>
  </si>
  <si>
    <t>1 square mile = 2.59 square kilometers = 259 hectares</t>
  </si>
  <si>
    <t>1 mile = 5280 feet = 1.609 kilometers</t>
  </si>
  <si>
    <t>Shoulders &amp; Dividers Width</t>
  </si>
  <si>
    <t>Minimum Area Directly Consumed by Road</t>
  </si>
  <si>
    <t xml:space="preserve">Automobile Ownership Level </t>
  </si>
  <si>
    <t>number of vehicles/ thousand people</t>
  </si>
  <si>
    <t>Total Road Distance</t>
  </si>
  <si>
    <t>miles</t>
  </si>
  <si>
    <t>feet</t>
  </si>
  <si>
    <t>coefficient</t>
  </si>
  <si>
    <t>sq. miles</t>
  </si>
  <si>
    <t>lane estimates based on Mark Delucchi, "Motor Vehicle Infrastructure and Services Provided by the Public Sector,"</t>
  </si>
  <si>
    <t>Land Area Consumed By the Car in Selected Countries</t>
  </si>
  <si>
    <t>Country</t>
  </si>
  <si>
    <t>kilometers</t>
  </si>
  <si>
    <t>hectares</t>
  </si>
  <si>
    <t>Japan</t>
  </si>
  <si>
    <t>France</t>
  </si>
  <si>
    <t>Germany</t>
  </si>
  <si>
    <t>Sweden</t>
  </si>
  <si>
    <t>United Kingdom</t>
  </si>
  <si>
    <t>Canada</t>
  </si>
  <si>
    <t>Mexico</t>
  </si>
  <si>
    <t>United States</t>
  </si>
  <si>
    <t>Size of Vehicle Fleet</t>
  </si>
  <si>
    <t>number</t>
  </si>
  <si>
    <t>Population</t>
  </si>
  <si>
    <t>million</t>
  </si>
  <si>
    <t>Functional System</t>
  </si>
  <si>
    <t>Interstate</t>
  </si>
  <si>
    <t>Minor Arterial</t>
  </si>
  <si>
    <t>Major Collector</t>
  </si>
  <si>
    <t>Minor Collector</t>
  </si>
  <si>
    <t>TOTAL</t>
  </si>
  <si>
    <t>RURAL</t>
  </si>
  <si>
    <t>URBAN</t>
  </si>
  <si>
    <t>Other Freeways and Expressways</t>
  </si>
  <si>
    <t>Collector</t>
  </si>
  <si>
    <t>Road Length</t>
  </si>
  <si>
    <t xml:space="preserve"> </t>
  </si>
  <si>
    <t>Avg Lane Width</t>
  </si>
  <si>
    <t>Avg # Lanes</t>
  </si>
  <si>
    <t>Private Road Factor</t>
  </si>
  <si>
    <t>Local Road</t>
  </si>
  <si>
    <t>Other Principal Arterial</t>
  </si>
  <si>
    <t>RURAL SUBTOTAL</t>
  </si>
  <si>
    <t>URBAN SUBTOTAL</t>
  </si>
  <si>
    <r>
      <t xml:space="preserve">Transportation, Federal Highway Administration, </t>
    </r>
    <r>
      <rPr>
        <i/>
        <sz val="10"/>
        <rFont val="Arial"/>
        <family val="2"/>
      </rPr>
      <t xml:space="preserve">Highway Statistics 1999 </t>
    </r>
    <r>
      <rPr>
        <sz val="10"/>
        <rFont val="Arial"/>
        <family val="0"/>
      </rPr>
      <t>(Washington, DC: December 2000);</t>
    </r>
  </si>
  <si>
    <t>Total Effective Road Width</t>
  </si>
  <si>
    <t>Land Area</t>
  </si>
  <si>
    <t>China</t>
  </si>
  <si>
    <t>India</t>
  </si>
  <si>
    <t>Additional Paved Area Needed for Industrialized Auto Ownership Level at Current Population</t>
  </si>
  <si>
    <t xml:space="preserve">Current Size of Vehicle Fleet </t>
  </si>
  <si>
    <t xml:space="preserve">Vehicle Fleet Size for Industrialized Auto Ownership Level </t>
  </si>
  <si>
    <t>cars + commercial vehicles</t>
  </si>
  <si>
    <t>Right-of-Way Width</t>
  </si>
  <si>
    <t>n.a.</t>
  </si>
  <si>
    <t xml:space="preserve">number </t>
  </si>
  <si>
    <t>Land Area/ Parking Space</t>
  </si>
  <si>
    <t>Minimum Number of Parking Spaces/ Vehicle</t>
  </si>
  <si>
    <t>sq. meters</t>
  </si>
  <si>
    <t>Calculated by Janet Larsen, Worldwatch Institute.</t>
  </si>
  <si>
    <t>Land Area Consumed by Road</t>
  </si>
  <si>
    <t>Total Land Area Used for Parking</t>
  </si>
  <si>
    <t>TOTAL Land Area Devoted to the Car (Parking Area + Road Area)</t>
  </si>
  <si>
    <t>Total Paved Area Needed for Industrialized Auto Ownership Level (Assumes 0.02 hectares needed per vehicle)</t>
  </si>
  <si>
    <t>TOTAL Current Land Area Devoted to the Car (Parking Area + Road Area)</t>
  </si>
  <si>
    <t>Land Area Devoted to Roads in the United States</t>
  </si>
  <si>
    <t>Land Area Devoted to Parking in the United States</t>
  </si>
  <si>
    <t>Current and Potential Land Area Consumed by the Car in India and China</t>
  </si>
  <si>
    <t>Institute for Sustainability and Technology Policy, Murdoch University, Australia.</t>
  </si>
  <si>
    <t>World</t>
  </si>
  <si>
    <t>Automobile</t>
  </si>
  <si>
    <t>Year</t>
  </si>
  <si>
    <t>Production</t>
  </si>
  <si>
    <t>Fleet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</si>
</sst>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#,##0.0"/>
    <numFmt numFmtId="173" formatCode="#,##0.000"/>
    <numFmt numFmtId="174" formatCode="General_)"/>
    <numFmt numFmtId="175" formatCode="0.0_)"/>
    <numFmt numFmtId="176" formatCode="0.0%"/>
    <numFmt numFmtId="177" formatCode="0_)"/>
    <numFmt numFmtId="178" formatCode="0.00_)"/>
    <numFmt numFmtId="179" formatCode="0"/>
    <numFmt numFmtId="180" formatCode="General_)"/>
  </numFmts>
  <fonts count="1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Courier"/>
      <family val="0"/>
    </font>
    <font>
      <i/>
      <sz val="14"/>
      <name val="Arial"/>
      <family val="2"/>
    </font>
    <font>
      <i/>
      <sz val="11"/>
      <name val="Arial"/>
      <family val="2"/>
    </font>
    <font>
      <sz val="8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7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 wrapText="1"/>
    </xf>
    <xf numFmtId="168" fontId="1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168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1" xfId="0" applyNumberFormat="1" applyFont="1" applyBorder="1" applyAlignment="1">
      <alignment horizontal="left" wrapText="1"/>
    </xf>
    <xf numFmtId="3" fontId="4" fillId="0" borderId="1" xfId="0" applyNumberFormat="1" applyFont="1" applyBorder="1" applyAlignment="1">
      <alignment horizontal="right" wrapText="1"/>
    </xf>
    <xf numFmtId="3" fontId="4" fillId="0" borderId="0" xfId="0" applyNumberFormat="1" applyFont="1" applyAlignment="1">
      <alignment horizontal="right" wrapText="1"/>
    </xf>
    <xf numFmtId="3" fontId="4" fillId="0" borderId="1" xfId="0" applyNumberFormat="1" applyFont="1" applyBorder="1" applyAlignment="1">
      <alignment horizontal="center" wrapText="1"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6" fillId="0" borderId="1" xfId="0" applyNumberFormat="1" applyFont="1" applyBorder="1" applyAlignment="1">
      <alignment horizontal="left" wrapText="1"/>
    </xf>
    <xf numFmtId="3" fontId="6" fillId="0" borderId="1" xfId="0" applyNumberFormat="1" applyFont="1" applyBorder="1" applyAlignment="1">
      <alignment horizontal="right" wrapText="1"/>
    </xf>
    <xf numFmtId="3" fontId="6" fillId="0" borderId="0" xfId="0" applyNumberFormat="1" applyFont="1" applyAlignment="1">
      <alignment horizontal="right" wrapText="1"/>
    </xf>
    <xf numFmtId="2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173" fontId="6" fillId="0" borderId="0" xfId="0" applyNumberFormat="1" applyFont="1" applyAlignment="1">
      <alignment/>
    </xf>
    <xf numFmtId="174" fontId="1" fillId="0" borderId="0" xfId="19" applyFont="1" applyAlignment="1" applyProtection="1">
      <alignment horizontal="left"/>
      <protection/>
    </xf>
    <xf numFmtId="174" fontId="0" fillId="0" borderId="0" xfId="19" applyFont="1">
      <alignment/>
      <protection/>
    </xf>
    <xf numFmtId="174" fontId="7" fillId="0" borderId="0" xfId="19">
      <alignment/>
      <protection/>
    </xf>
    <xf numFmtId="174" fontId="0" fillId="0" borderId="0" xfId="19" applyFont="1" applyAlignment="1" applyProtection="1">
      <alignment horizontal="right"/>
      <protection/>
    </xf>
    <xf numFmtId="174" fontId="0" fillId="0" borderId="0" xfId="19" applyFont="1" applyProtection="1">
      <alignment/>
      <protection/>
    </xf>
    <xf numFmtId="168" fontId="0" fillId="0" borderId="0" xfId="19" applyNumberFormat="1" applyFont="1" applyProtection="1">
      <alignment/>
      <protection/>
    </xf>
    <xf numFmtId="168" fontId="0" fillId="0" borderId="0" xfId="20" applyNumberFormat="1" applyFont="1" applyFill="1" applyBorder="1">
      <alignment/>
      <protection/>
    </xf>
    <xf numFmtId="174" fontId="0" fillId="0" borderId="0" xfId="19" applyFont="1" applyAlignment="1" applyProtection="1">
      <alignment horizontal="left"/>
      <protection/>
    </xf>
    <xf numFmtId="175" fontId="0" fillId="0" borderId="0" xfId="19" applyNumberFormat="1" applyFont="1" applyAlignment="1" applyProtection="1">
      <alignment horizontal="right"/>
      <protection/>
    </xf>
    <xf numFmtId="1" fontId="0" fillId="0" borderId="0" xfId="19" applyNumberFormat="1" applyFont="1" applyProtection="1">
      <alignment/>
      <protection/>
    </xf>
    <xf numFmtId="1" fontId="0" fillId="0" borderId="0" xfId="19" applyNumberFormat="1" applyFont="1">
      <alignment/>
      <protection/>
    </xf>
    <xf numFmtId="3" fontId="9" fillId="0" borderId="0" xfId="0" applyNumberFormat="1" applyFont="1" applyAlignment="1">
      <alignment/>
    </xf>
    <xf numFmtId="0" fontId="3" fillId="0" borderId="0" xfId="0" applyFont="1" applyAlignment="1">
      <alignment/>
    </xf>
    <xf numFmtId="174" fontId="2" fillId="0" borderId="0" xfId="19" applyFont="1" applyAlignment="1" applyProtection="1">
      <alignment horizontal="left"/>
      <protection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right" wrapText="1"/>
    </xf>
    <xf numFmtId="168" fontId="0" fillId="0" borderId="1" xfId="0" applyNumberFormat="1" applyFont="1" applyBorder="1" applyAlignment="1">
      <alignment horizontal="right" wrapText="1"/>
    </xf>
    <xf numFmtId="2" fontId="0" fillId="0" borderId="1" xfId="0" applyNumberFormat="1" applyFont="1" applyBorder="1" applyAlignment="1">
      <alignment horizontal="right" wrapText="1"/>
    </xf>
    <xf numFmtId="174" fontId="0" fillId="0" borderId="2" xfId="19" applyFont="1" applyBorder="1">
      <alignment/>
      <protection/>
    </xf>
    <xf numFmtId="174" fontId="0" fillId="0" borderId="2" xfId="19" applyFont="1" applyBorder="1" applyAlignment="1" applyProtection="1">
      <alignment horizontal="righ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AUTOS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Automobile Fleet, 1950-1999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7475"/>
          <c:w val="0.91725"/>
          <c:h val="0.76575"/>
        </c:manualLayout>
      </c:layout>
      <c:scatterChart>
        <c:scatterStyle val="line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AutoDATA!$A$8:$A$57</c:f>
              <c:numCache>
                <c:ptCount val="5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</c:numCache>
            </c:numRef>
          </c:xVal>
          <c:yVal>
            <c:numRef>
              <c:f>AutoDATA!$C$8:$C$57</c:f>
              <c:numCache>
                <c:ptCount val="50"/>
                <c:pt idx="0">
                  <c:v>53.050697</c:v>
                </c:pt>
                <c:pt idx="1">
                  <c:v>56.007121</c:v>
                </c:pt>
                <c:pt idx="2">
                  <c:v>58.359912</c:v>
                </c:pt>
                <c:pt idx="3">
                  <c:v>62.470082</c:v>
                </c:pt>
                <c:pt idx="4">
                  <c:v>66.612882</c:v>
                </c:pt>
                <c:pt idx="5">
                  <c:v>73.036095</c:v>
                </c:pt>
                <c:pt idx="6">
                  <c:v>78.311927</c:v>
                </c:pt>
                <c:pt idx="7">
                  <c:v>82.675331</c:v>
                </c:pt>
                <c:pt idx="8">
                  <c:v>86.159439</c:v>
                </c:pt>
                <c:pt idx="9">
                  <c:v>92.417425</c:v>
                </c:pt>
                <c:pt idx="10">
                  <c:v>98.305</c:v>
                </c:pt>
                <c:pt idx="11">
                  <c:v>104.866047</c:v>
                </c:pt>
                <c:pt idx="12">
                  <c:v>113.319108</c:v>
                </c:pt>
                <c:pt idx="13">
                  <c:v>120.813965</c:v>
                </c:pt>
                <c:pt idx="14">
                  <c:v>130.142034</c:v>
                </c:pt>
                <c:pt idx="15">
                  <c:v>139.776281</c:v>
                </c:pt>
                <c:pt idx="16">
                  <c:v>148.381109</c:v>
                </c:pt>
                <c:pt idx="17">
                  <c:v>158.259971</c:v>
                </c:pt>
                <c:pt idx="18">
                  <c:v>169.905943</c:v>
                </c:pt>
                <c:pt idx="19">
                  <c:v>181.207779</c:v>
                </c:pt>
                <c:pt idx="20">
                  <c:v>193.47941</c:v>
                </c:pt>
                <c:pt idx="21">
                  <c:v>206.873546</c:v>
                </c:pt>
                <c:pt idx="22">
                  <c:v>220.274168</c:v>
                </c:pt>
                <c:pt idx="23">
                  <c:v>236.220508</c:v>
                </c:pt>
                <c:pt idx="24">
                  <c:v>248.567095</c:v>
                </c:pt>
                <c:pt idx="25">
                  <c:v>260.200842</c:v>
                </c:pt>
                <c:pt idx="26">
                  <c:v>269.4166</c:v>
                </c:pt>
                <c:pt idx="27">
                  <c:v>284.609166</c:v>
                </c:pt>
                <c:pt idx="28">
                  <c:v>297.35939</c:v>
                </c:pt>
                <c:pt idx="29">
                  <c:v>307.847761</c:v>
                </c:pt>
                <c:pt idx="30">
                  <c:v>320.389836</c:v>
                </c:pt>
                <c:pt idx="31">
                  <c:v>330.798675</c:v>
                </c:pt>
                <c:pt idx="32">
                  <c:v>340.265535</c:v>
                </c:pt>
                <c:pt idx="33">
                  <c:v>352.031754</c:v>
                </c:pt>
                <c:pt idx="34">
                  <c:v>365.104996</c:v>
                </c:pt>
                <c:pt idx="35">
                  <c:v>374.483098</c:v>
                </c:pt>
                <c:pt idx="36">
                  <c:v>386.349579</c:v>
                </c:pt>
                <c:pt idx="37">
                  <c:v>394.029867</c:v>
                </c:pt>
                <c:pt idx="38">
                  <c:v>412.907178</c:v>
                </c:pt>
                <c:pt idx="39">
                  <c:v>424.365795</c:v>
                </c:pt>
                <c:pt idx="40">
                  <c:v>444.9</c:v>
                </c:pt>
                <c:pt idx="41">
                  <c:v>456</c:v>
                </c:pt>
                <c:pt idx="42">
                  <c:v>469.9</c:v>
                </c:pt>
                <c:pt idx="43">
                  <c:v>469.5</c:v>
                </c:pt>
                <c:pt idx="44">
                  <c:v>479.9</c:v>
                </c:pt>
                <c:pt idx="45">
                  <c:v>477</c:v>
                </c:pt>
                <c:pt idx="46">
                  <c:v>486</c:v>
                </c:pt>
                <c:pt idx="47">
                  <c:v>498</c:v>
                </c:pt>
                <c:pt idx="48">
                  <c:v>510</c:v>
                </c:pt>
                <c:pt idx="49">
                  <c:v>520</c:v>
                </c:pt>
              </c:numCache>
            </c:numRef>
          </c:yVal>
          <c:smooth val="0"/>
        </c:ser>
        <c:axId val="19276066"/>
        <c:axId val="39266867"/>
      </c:scatterChart>
      <c:valAx>
        <c:axId val="19276066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Compiled by Worldwatch Institute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66867"/>
        <c:crosses val="autoZero"/>
        <c:crossBetween val="midCat"/>
        <c:dispUnits/>
      </c:valAx>
      <c:valAx>
        <c:axId val="392668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Millions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7606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Automobile Production, 1950-1999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15725"/>
          <c:w val="0.92375"/>
          <c:h val="0.782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AutoDATA!$A$8:$A$57</c:f>
              <c:numCache>
                <c:ptCount val="5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</c:numCache>
            </c:numRef>
          </c:xVal>
          <c:yVal>
            <c:numRef>
              <c:f>AutoDATA!$B$8:$B$57</c:f>
              <c:numCache>
                <c:ptCount val="50"/>
                <c:pt idx="0">
                  <c:v>8</c:v>
                </c:pt>
                <c:pt idx="1">
                  <c:v>7</c:v>
                </c:pt>
                <c:pt idx="2">
                  <c:v>6</c:v>
                </c:pt>
                <c:pt idx="3">
                  <c:v>8</c:v>
                </c:pt>
                <c:pt idx="4">
                  <c:v>8</c:v>
                </c:pt>
                <c:pt idx="5">
                  <c:v>11</c:v>
                </c:pt>
                <c:pt idx="6">
                  <c:v>9.1</c:v>
                </c:pt>
                <c:pt idx="7">
                  <c:v>9.8</c:v>
                </c:pt>
                <c:pt idx="8">
                  <c:v>8.7</c:v>
                </c:pt>
                <c:pt idx="9">
                  <c:v>10.8</c:v>
                </c:pt>
                <c:pt idx="10">
                  <c:v>12.8</c:v>
                </c:pt>
                <c:pt idx="11">
                  <c:v>11.4</c:v>
                </c:pt>
                <c:pt idx="12">
                  <c:v>14</c:v>
                </c:pt>
                <c:pt idx="13">
                  <c:v>15.9</c:v>
                </c:pt>
                <c:pt idx="14">
                  <c:v>16.7</c:v>
                </c:pt>
                <c:pt idx="15">
                  <c:v>19</c:v>
                </c:pt>
                <c:pt idx="16">
                  <c:v>19.2</c:v>
                </c:pt>
                <c:pt idx="17">
                  <c:v>18.6</c:v>
                </c:pt>
                <c:pt idx="18">
                  <c:v>21.6</c:v>
                </c:pt>
                <c:pt idx="19">
                  <c:v>23.1</c:v>
                </c:pt>
                <c:pt idx="20">
                  <c:v>22.5</c:v>
                </c:pt>
                <c:pt idx="21">
                  <c:v>26.5</c:v>
                </c:pt>
                <c:pt idx="22">
                  <c:v>27.9</c:v>
                </c:pt>
                <c:pt idx="23">
                  <c:v>30</c:v>
                </c:pt>
                <c:pt idx="24">
                  <c:v>26</c:v>
                </c:pt>
                <c:pt idx="25">
                  <c:v>25</c:v>
                </c:pt>
                <c:pt idx="26">
                  <c:v>28.9</c:v>
                </c:pt>
                <c:pt idx="27">
                  <c:v>30.5</c:v>
                </c:pt>
                <c:pt idx="28">
                  <c:v>31.2</c:v>
                </c:pt>
                <c:pt idx="29">
                  <c:v>30.8</c:v>
                </c:pt>
                <c:pt idx="30">
                  <c:v>28.6</c:v>
                </c:pt>
                <c:pt idx="31">
                  <c:v>27.5</c:v>
                </c:pt>
                <c:pt idx="32">
                  <c:v>26.7</c:v>
                </c:pt>
                <c:pt idx="33">
                  <c:v>30</c:v>
                </c:pt>
                <c:pt idx="34">
                  <c:v>30.5</c:v>
                </c:pt>
                <c:pt idx="35">
                  <c:v>32.4</c:v>
                </c:pt>
                <c:pt idx="36">
                  <c:v>32.9</c:v>
                </c:pt>
                <c:pt idx="37">
                  <c:v>33.1</c:v>
                </c:pt>
                <c:pt idx="38">
                  <c:v>34.4</c:v>
                </c:pt>
                <c:pt idx="39">
                  <c:v>35.7</c:v>
                </c:pt>
                <c:pt idx="40">
                  <c:v>36.3</c:v>
                </c:pt>
                <c:pt idx="41">
                  <c:v>35.1</c:v>
                </c:pt>
                <c:pt idx="42">
                  <c:v>35.5</c:v>
                </c:pt>
                <c:pt idx="43">
                  <c:v>34.2</c:v>
                </c:pt>
                <c:pt idx="44">
                  <c:v>34.8</c:v>
                </c:pt>
                <c:pt idx="45">
                  <c:v>35.4</c:v>
                </c:pt>
                <c:pt idx="46">
                  <c:v>36.6</c:v>
                </c:pt>
                <c:pt idx="47">
                  <c:v>38.7</c:v>
                </c:pt>
                <c:pt idx="48">
                  <c:v>38</c:v>
                </c:pt>
                <c:pt idx="49">
                  <c:v>39</c:v>
                </c:pt>
              </c:numCache>
            </c:numRef>
          </c:yVal>
          <c:smooth val="0"/>
        </c:ser>
        <c:axId val="17857484"/>
        <c:axId val="26499629"/>
      </c:scatterChart>
      <c:valAx>
        <c:axId val="17857484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Compiled by Worldwatch Institute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99629"/>
        <c:crosses val="autoZero"/>
        <c:crossBetween val="midCat"/>
        <c:dispUnits/>
      </c:valAx>
      <c:valAx>
        <c:axId val="264996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5748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C62"/>
  <sheetViews>
    <sheetView showGridLines="0" workbookViewId="0" topLeftCell="A1">
      <selection activeCell="A1" sqref="A1"/>
    </sheetView>
  </sheetViews>
  <sheetFormatPr defaultColWidth="11.00390625" defaultRowHeight="12.75"/>
  <cols>
    <col min="1" max="1" width="23.28125" style="29" customWidth="1"/>
    <col min="2" max="2" width="16.8515625" style="29" customWidth="1"/>
    <col min="3" max="3" width="21.140625" style="29" customWidth="1"/>
    <col min="4" max="4" width="21.421875" style="29" customWidth="1"/>
    <col min="5" max="5" width="13.421875" style="29" customWidth="1"/>
    <col min="6" max="16384" width="11.00390625" style="29" customWidth="1"/>
  </cols>
  <sheetData>
    <row r="1" ht="12">
      <c r="A1" s="28" t="s">
        <v>2</v>
      </c>
    </row>
    <row r="2" spans="1:2" ht="12">
      <c r="A2" s="30"/>
      <c r="B2" s="30"/>
    </row>
    <row r="3" spans="2:3" ht="12">
      <c r="B3" s="31" t="s">
        <v>91</v>
      </c>
      <c r="C3" s="36" t="s">
        <v>91</v>
      </c>
    </row>
    <row r="4" spans="2:3" ht="12">
      <c r="B4" s="31" t="s">
        <v>92</v>
      </c>
      <c r="C4" s="31" t="s">
        <v>92</v>
      </c>
    </row>
    <row r="5" spans="1:3" ht="12">
      <c r="A5" s="31" t="s">
        <v>93</v>
      </c>
      <c r="B5" s="31" t="s">
        <v>94</v>
      </c>
      <c r="C5" s="31" t="s">
        <v>95</v>
      </c>
    </row>
    <row r="6" spans="1:3" ht="12">
      <c r="A6" s="46"/>
      <c r="B6" s="47" t="s">
        <v>1</v>
      </c>
      <c r="C6" s="47" t="s">
        <v>1</v>
      </c>
    </row>
    <row r="8" spans="1:3" ht="12">
      <c r="A8" s="32">
        <v>1950</v>
      </c>
      <c r="B8" s="32">
        <v>8</v>
      </c>
      <c r="C8" s="37">
        <v>53.050697</v>
      </c>
    </row>
    <row r="9" spans="1:3" ht="12">
      <c r="A9" s="32">
        <v>1951</v>
      </c>
      <c r="B9" s="32">
        <v>7</v>
      </c>
      <c r="C9" s="37">
        <v>56.007121</v>
      </c>
    </row>
    <row r="10" spans="1:3" ht="12">
      <c r="A10" s="32">
        <v>1952</v>
      </c>
      <c r="B10" s="32">
        <v>6</v>
      </c>
      <c r="C10" s="37">
        <v>58.359912</v>
      </c>
    </row>
    <row r="11" spans="1:3" ht="12">
      <c r="A11" s="32">
        <v>1953</v>
      </c>
      <c r="B11" s="32">
        <v>8</v>
      </c>
      <c r="C11" s="37">
        <v>62.470082</v>
      </c>
    </row>
    <row r="12" spans="1:3" ht="12">
      <c r="A12" s="32">
        <v>1954</v>
      </c>
      <c r="B12" s="32">
        <v>8</v>
      </c>
      <c r="C12" s="37">
        <v>66.612882</v>
      </c>
    </row>
    <row r="13" spans="1:3" ht="12">
      <c r="A13" s="32">
        <v>1955</v>
      </c>
      <c r="B13" s="33">
        <v>11</v>
      </c>
      <c r="C13" s="37">
        <v>73.036095</v>
      </c>
    </row>
    <row r="14" spans="1:3" ht="12">
      <c r="A14" s="32">
        <v>1956</v>
      </c>
      <c r="B14" s="33">
        <v>9.1</v>
      </c>
      <c r="C14" s="37">
        <v>78.311927</v>
      </c>
    </row>
    <row r="15" spans="1:3" ht="12">
      <c r="A15" s="32">
        <v>1957</v>
      </c>
      <c r="B15" s="33">
        <v>9.8</v>
      </c>
      <c r="C15" s="37">
        <v>82.675331</v>
      </c>
    </row>
    <row r="16" spans="1:3" ht="12">
      <c r="A16" s="32">
        <v>1958</v>
      </c>
      <c r="B16" s="33">
        <v>8.7</v>
      </c>
      <c r="C16" s="37">
        <v>86.159439</v>
      </c>
    </row>
    <row r="17" spans="1:3" ht="12">
      <c r="A17" s="32">
        <v>1959</v>
      </c>
      <c r="B17" s="33">
        <v>10.8</v>
      </c>
      <c r="C17" s="37">
        <v>92.417425</v>
      </c>
    </row>
    <row r="18" spans="1:3" ht="12">
      <c r="A18" s="32">
        <v>1960</v>
      </c>
      <c r="B18" s="33">
        <v>12.8</v>
      </c>
      <c r="C18" s="37">
        <v>98.305</v>
      </c>
    </row>
    <row r="19" spans="1:3" ht="12">
      <c r="A19" s="32">
        <v>1961</v>
      </c>
      <c r="B19" s="33">
        <v>11.4</v>
      </c>
      <c r="C19" s="37">
        <v>104.866047</v>
      </c>
    </row>
    <row r="20" spans="1:3" ht="12">
      <c r="A20" s="32">
        <v>1962</v>
      </c>
      <c r="B20" s="33">
        <v>14</v>
      </c>
      <c r="C20" s="37">
        <v>113.319108</v>
      </c>
    </row>
    <row r="21" spans="1:3" ht="12">
      <c r="A21" s="32">
        <v>1963</v>
      </c>
      <c r="B21" s="33">
        <v>15.9</v>
      </c>
      <c r="C21" s="37">
        <v>120.813965</v>
      </c>
    </row>
    <row r="22" spans="1:3" ht="12">
      <c r="A22" s="32">
        <v>1964</v>
      </c>
      <c r="B22" s="33">
        <v>16.7</v>
      </c>
      <c r="C22" s="37">
        <v>130.142034</v>
      </c>
    </row>
    <row r="23" spans="1:3" ht="12">
      <c r="A23" s="32">
        <v>1965</v>
      </c>
      <c r="B23" s="33">
        <v>19</v>
      </c>
      <c r="C23" s="37">
        <v>139.776281</v>
      </c>
    </row>
    <row r="24" spans="1:3" ht="12">
      <c r="A24" s="32">
        <v>1966</v>
      </c>
      <c r="B24" s="33">
        <v>19.2</v>
      </c>
      <c r="C24" s="37">
        <v>148.381109</v>
      </c>
    </row>
    <row r="25" spans="1:3" ht="12">
      <c r="A25" s="32">
        <v>1967</v>
      </c>
      <c r="B25" s="33">
        <v>18.6</v>
      </c>
      <c r="C25" s="37">
        <v>158.259971</v>
      </c>
    </row>
    <row r="26" spans="1:3" ht="12">
      <c r="A26" s="32">
        <v>1968</v>
      </c>
      <c r="B26" s="33">
        <v>21.6</v>
      </c>
      <c r="C26" s="37">
        <v>169.905943</v>
      </c>
    </row>
    <row r="27" spans="1:3" ht="12">
      <c r="A27" s="32">
        <v>1969</v>
      </c>
      <c r="B27" s="33">
        <v>23.1</v>
      </c>
      <c r="C27" s="37">
        <v>181.207779</v>
      </c>
    </row>
    <row r="28" spans="1:3" ht="12">
      <c r="A28" s="32">
        <v>1970</v>
      </c>
      <c r="B28" s="33">
        <v>22.5</v>
      </c>
      <c r="C28" s="37">
        <v>193.47941</v>
      </c>
    </row>
    <row r="29" spans="1:3" ht="12">
      <c r="A29" s="32">
        <v>1971</v>
      </c>
      <c r="B29" s="33">
        <v>26.5</v>
      </c>
      <c r="C29" s="37">
        <v>206.873546</v>
      </c>
    </row>
    <row r="30" spans="1:3" ht="12">
      <c r="A30" s="32">
        <v>1972</v>
      </c>
      <c r="B30" s="33">
        <v>27.9</v>
      </c>
      <c r="C30" s="37">
        <v>220.274168</v>
      </c>
    </row>
    <row r="31" spans="1:3" ht="12">
      <c r="A31" s="32">
        <v>1973</v>
      </c>
      <c r="B31" s="33">
        <v>30</v>
      </c>
      <c r="C31" s="37">
        <v>236.220508</v>
      </c>
    </row>
    <row r="32" spans="1:3" ht="12">
      <c r="A32" s="32">
        <v>1974</v>
      </c>
      <c r="B32" s="33">
        <v>26</v>
      </c>
      <c r="C32" s="37">
        <v>248.567095</v>
      </c>
    </row>
    <row r="33" spans="1:3" ht="12">
      <c r="A33" s="32">
        <v>1975</v>
      </c>
      <c r="B33" s="33">
        <v>25</v>
      </c>
      <c r="C33" s="37">
        <v>260.200842</v>
      </c>
    </row>
    <row r="34" spans="1:3" ht="12">
      <c r="A34" s="32">
        <v>1976</v>
      </c>
      <c r="B34" s="33">
        <v>28.9</v>
      </c>
      <c r="C34" s="37">
        <v>269.4166</v>
      </c>
    </row>
    <row r="35" spans="1:3" ht="12">
      <c r="A35" s="32">
        <v>1977</v>
      </c>
      <c r="B35" s="33">
        <v>30.5</v>
      </c>
      <c r="C35" s="37">
        <v>284.609166</v>
      </c>
    </row>
    <row r="36" spans="1:3" ht="12">
      <c r="A36" s="32">
        <v>1978</v>
      </c>
      <c r="B36" s="33">
        <v>31.2</v>
      </c>
      <c r="C36" s="37">
        <v>297.35939</v>
      </c>
    </row>
    <row r="37" spans="1:3" ht="12">
      <c r="A37" s="32">
        <v>1979</v>
      </c>
      <c r="B37" s="33">
        <v>30.8</v>
      </c>
      <c r="C37" s="37">
        <v>307.847761</v>
      </c>
    </row>
    <row r="38" spans="1:3" ht="12">
      <c r="A38" s="32">
        <v>1980</v>
      </c>
      <c r="B38" s="33">
        <v>28.6</v>
      </c>
      <c r="C38" s="37">
        <v>320.389836</v>
      </c>
    </row>
    <row r="39" spans="1:3" ht="12">
      <c r="A39" s="32">
        <v>1981</v>
      </c>
      <c r="B39" s="33">
        <v>27.5</v>
      </c>
      <c r="C39" s="37">
        <v>330.798675</v>
      </c>
    </row>
    <row r="40" spans="1:3" ht="12">
      <c r="A40" s="32">
        <v>1982</v>
      </c>
      <c r="B40" s="33">
        <v>26.7</v>
      </c>
      <c r="C40" s="37">
        <v>340.265535</v>
      </c>
    </row>
    <row r="41" spans="1:3" ht="12">
      <c r="A41" s="32">
        <v>1983</v>
      </c>
      <c r="B41" s="33">
        <v>30</v>
      </c>
      <c r="C41" s="37">
        <v>352.031754</v>
      </c>
    </row>
    <row r="42" spans="1:3" ht="12">
      <c r="A42" s="32">
        <v>1984</v>
      </c>
      <c r="B42" s="33">
        <v>30.5</v>
      </c>
      <c r="C42" s="37">
        <v>365.104996</v>
      </c>
    </row>
    <row r="43" spans="1:3" ht="12">
      <c r="A43" s="32">
        <v>1985</v>
      </c>
      <c r="B43" s="33">
        <v>32.4</v>
      </c>
      <c r="C43" s="37">
        <v>374.483098</v>
      </c>
    </row>
    <row r="44" spans="1:3" ht="12">
      <c r="A44" s="32">
        <v>1986</v>
      </c>
      <c r="B44" s="33">
        <v>32.9</v>
      </c>
      <c r="C44" s="37">
        <v>386.349579</v>
      </c>
    </row>
    <row r="45" spans="1:3" ht="12">
      <c r="A45" s="32">
        <v>1987</v>
      </c>
      <c r="B45" s="33">
        <v>33.1</v>
      </c>
      <c r="C45" s="37">
        <v>394.029867</v>
      </c>
    </row>
    <row r="46" spans="1:3" ht="12">
      <c r="A46" s="32">
        <v>1988</v>
      </c>
      <c r="B46" s="33">
        <v>34.4</v>
      </c>
      <c r="C46" s="37">
        <v>412.907178</v>
      </c>
    </row>
    <row r="47" spans="1:3" ht="12">
      <c r="A47" s="32">
        <v>1989</v>
      </c>
      <c r="B47" s="33">
        <v>35.7</v>
      </c>
      <c r="C47" s="37">
        <v>424.365795</v>
      </c>
    </row>
    <row r="48" spans="1:3" ht="12">
      <c r="A48" s="32">
        <v>1990</v>
      </c>
      <c r="B48" s="33">
        <v>36.3</v>
      </c>
      <c r="C48" s="37">
        <v>444.9</v>
      </c>
    </row>
    <row r="49" spans="1:3" ht="12">
      <c r="A49" s="32">
        <v>1991</v>
      </c>
      <c r="B49" s="33">
        <v>35.1</v>
      </c>
      <c r="C49" s="37">
        <v>456</v>
      </c>
    </row>
    <row r="50" spans="1:3" ht="12">
      <c r="A50" s="32">
        <v>1992</v>
      </c>
      <c r="B50" s="33">
        <v>35.5</v>
      </c>
      <c r="C50" s="37">
        <v>469.9</v>
      </c>
    </row>
    <row r="51" spans="1:3" ht="12">
      <c r="A51" s="32">
        <v>1993</v>
      </c>
      <c r="B51" s="33">
        <v>34.2</v>
      </c>
      <c r="C51" s="37">
        <v>469.5</v>
      </c>
    </row>
    <row r="52" spans="1:3" ht="12">
      <c r="A52" s="32">
        <v>1994</v>
      </c>
      <c r="B52" s="34">
        <v>34.8</v>
      </c>
      <c r="C52" s="37">
        <v>479.9</v>
      </c>
    </row>
    <row r="53" spans="1:3" ht="12">
      <c r="A53" s="32">
        <v>1995</v>
      </c>
      <c r="B53" s="34">
        <v>35.4</v>
      </c>
      <c r="C53" s="37">
        <v>477</v>
      </c>
    </row>
    <row r="54" spans="1:3" ht="12">
      <c r="A54" s="32">
        <v>1996</v>
      </c>
      <c r="B54" s="34">
        <v>36.6</v>
      </c>
      <c r="C54" s="37">
        <v>486</v>
      </c>
    </row>
    <row r="55" spans="1:3" ht="12">
      <c r="A55" s="32">
        <v>1997</v>
      </c>
      <c r="B55" s="34">
        <v>38.7</v>
      </c>
      <c r="C55" s="37">
        <v>498</v>
      </c>
    </row>
    <row r="56" spans="1:3" ht="12">
      <c r="A56" s="29">
        <v>1998</v>
      </c>
      <c r="B56" s="34">
        <v>38</v>
      </c>
      <c r="C56" s="38">
        <v>510</v>
      </c>
    </row>
    <row r="57" spans="1:3" ht="12">
      <c r="A57" s="29">
        <v>1999</v>
      </c>
      <c r="B57" s="34">
        <v>39</v>
      </c>
      <c r="C57" s="38">
        <v>520</v>
      </c>
    </row>
    <row r="58" spans="1:2" ht="12">
      <c r="A58" s="29" t="s">
        <v>58</v>
      </c>
      <c r="B58" s="34"/>
    </row>
    <row r="59" ht="12">
      <c r="A59" s="35" t="s">
        <v>16</v>
      </c>
    </row>
    <row r="60" ht="12">
      <c r="A60" s="41" t="s">
        <v>17</v>
      </c>
    </row>
    <row r="61" ht="12">
      <c r="A61" s="29" t="s">
        <v>58</v>
      </c>
    </row>
    <row r="62" ht="12">
      <c r="A62" s="29" t="s">
        <v>0</v>
      </c>
    </row>
  </sheetData>
  <printOptions/>
  <pageMargins left="0.75" right="0.75" top="1" bottom="1" header="0.5" footer="0.5"/>
  <pageSetup horizontalDpi="600" verticalDpi="600" orientation="portrait" scale="82"/>
  <rowBreaks count="1" manualBreakCount="1">
    <brk id="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2" customWidth="1"/>
    <col min="2" max="2" width="12.8515625" style="9" customWidth="1"/>
    <col min="3" max="3" width="7.8515625" style="7" customWidth="1"/>
    <col min="4" max="4" width="7.00390625" style="7" customWidth="1"/>
    <col min="5" max="5" width="10.00390625" style="7" customWidth="1"/>
    <col min="6" max="6" width="7.8515625" style="7" customWidth="1"/>
    <col min="7" max="7" width="12.140625" style="7" customWidth="1"/>
    <col min="8" max="8" width="10.8515625" style="3" customWidth="1"/>
    <col min="9" max="9" width="11.7109375" style="9" customWidth="1"/>
    <col min="10" max="10" width="8.421875" style="2" customWidth="1"/>
    <col min="11" max="16384" width="9.140625" style="2" customWidth="1"/>
  </cols>
  <sheetData>
    <row r="1" spans="1:3" ht="12">
      <c r="A1" s="1" t="s">
        <v>87</v>
      </c>
      <c r="C1" s="6"/>
    </row>
    <row r="2" spans="1:3" ht="12">
      <c r="A2" s="1" t="s">
        <v>58</v>
      </c>
      <c r="C2" s="6"/>
    </row>
    <row r="3" spans="1:9" s="5" customFormat="1" ht="77.25" customHeight="1">
      <c r="A3" s="42" t="s">
        <v>47</v>
      </c>
      <c r="B3" s="43" t="s">
        <v>57</v>
      </c>
      <c r="C3" s="44" t="s">
        <v>60</v>
      </c>
      <c r="D3" s="44" t="s">
        <v>59</v>
      </c>
      <c r="E3" s="44" t="s">
        <v>21</v>
      </c>
      <c r="F3" s="44" t="s">
        <v>75</v>
      </c>
      <c r="G3" s="44" t="s">
        <v>67</v>
      </c>
      <c r="H3" s="45" t="s">
        <v>61</v>
      </c>
      <c r="I3" s="43" t="s">
        <v>22</v>
      </c>
    </row>
    <row r="4" spans="1:9" ht="12">
      <c r="A4" s="2" t="s">
        <v>58</v>
      </c>
      <c r="B4" s="10" t="s">
        <v>26</v>
      </c>
      <c r="C4" s="8" t="s">
        <v>44</v>
      </c>
      <c r="D4" s="8" t="s">
        <v>27</v>
      </c>
      <c r="E4" s="8" t="s">
        <v>27</v>
      </c>
      <c r="F4" s="8" t="s">
        <v>27</v>
      </c>
      <c r="G4" s="8" t="s">
        <v>27</v>
      </c>
      <c r="H4" s="4" t="s">
        <v>28</v>
      </c>
      <c r="I4" s="10" t="s">
        <v>29</v>
      </c>
    </row>
    <row r="6" ht="12">
      <c r="A6" s="1" t="s">
        <v>53</v>
      </c>
    </row>
    <row r="7" spans="1:9" ht="12">
      <c r="A7" s="2" t="s">
        <v>48</v>
      </c>
      <c r="B7" s="9">
        <v>33067</v>
      </c>
      <c r="C7" s="7">
        <v>4.1</v>
      </c>
      <c r="D7" s="7">
        <v>12</v>
      </c>
      <c r="E7" s="7">
        <v>35</v>
      </c>
      <c r="F7" s="7">
        <f>G7-((C7*D7)+E7)</f>
        <v>215.8</v>
      </c>
      <c r="G7" s="7">
        <v>300</v>
      </c>
      <c r="H7" s="3">
        <v>1</v>
      </c>
      <c r="I7" s="9">
        <f aca="true" t="shared" si="0" ref="I7:I12">(B7*G7*H7)/5280</f>
        <v>1878.8068181818182</v>
      </c>
    </row>
    <row r="8" spans="1:9" ht="12">
      <c r="A8" s="2" t="s">
        <v>63</v>
      </c>
      <c r="B8" s="9">
        <v>98952</v>
      </c>
      <c r="C8" s="7">
        <f>(2.5+2.1)/2</f>
        <v>2.3</v>
      </c>
      <c r="D8" s="7">
        <f>(11.7+11.5)/2</f>
        <v>11.6</v>
      </c>
      <c r="E8" s="7">
        <f>(30+15)/2</f>
        <v>22.5</v>
      </c>
      <c r="F8" s="7">
        <f>400-((C8*D8)+E8)</f>
        <v>350.82</v>
      </c>
      <c r="G8" s="7">
        <f>G7-50</f>
        <v>250</v>
      </c>
      <c r="H8" s="3">
        <v>1</v>
      </c>
      <c r="I8" s="9">
        <f t="shared" si="0"/>
        <v>4685.227272727273</v>
      </c>
    </row>
    <row r="9" spans="1:9" ht="12">
      <c r="A9" s="2" t="s">
        <v>49</v>
      </c>
      <c r="B9" s="9">
        <v>137751</v>
      </c>
      <c r="C9" s="7">
        <v>2.1</v>
      </c>
      <c r="D9" s="7">
        <v>11.5</v>
      </c>
      <c r="E9" s="7">
        <v>15</v>
      </c>
      <c r="F9" s="7">
        <f>300-((C9*D9)+E9)</f>
        <v>260.85</v>
      </c>
      <c r="G9" s="7">
        <f>G8-50</f>
        <v>200</v>
      </c>
      <c r="H9" s="3">
        <v>1</v>
      </c>
      <c r="I9" s="9">
        <f t="shared" si="0"/>
        <v>5217.840909090909</v>
      </c>
    </row>
    <row r="10" spans="1:9" ht="12">
      <c r="A10" s="2" t="s">
        <v>50</v>
      </c>
      <c r="B10" s="9">
        <v>433754</v>
      </c>
      <c r="C10" s="7">
        <v>2</v>
      </c>
      <c r="D10" s="7">
        <v>10.9</v>
      </c>
      <c r="E10" s="7">
        <v>10</v>
      </c>
      <c r="F10" s="7">
        <f>200-((C10*D10)+E10)</f>
        <v>168.2</v>
      </c>
      <c r="G10" s="7">
        <f>G9-50</f>
        <v>150</v>
      </c>
      <c r="H10" s="3">
        <v>1</v>
      </c>
      <c r="I10" s="9">
        <f t="shared" si="0"/>
        <v>12322.556818181818</v>
      </c>
    </row>
    <row r="11" spans="1:9" ht="12">
      <c r="A11" s="2" t="s">
        <v>51</v>
      </c>
      <c r="B11" s="9">
        <v>272360</v>
      </c>
      <c r="C11" s="7">
        <v>2</v>
      </c>
      <c r="D11" s="7">
        <v>10.1</v>
      </c>
      <c r="E11" s="7">
        <v>5</v>
      </c>
      <c r="F11" s="7">
        <f>100-((C11*D11)+E11)</f>
        <v>74.8</v>
      </c>
      <c r="G11" s="7">
        <f>G10-50</f>
        <v>100</v>
      </c>
      <c r="H11" s="3">
        <v>1.01</v>
      </c>
      <c r="I11" s="9">
        <f t="shared" si="0"/>
        <v>5209.916666666667</v>
      </c>
    </row>
    <row r="12" spans="1:9" ht="12">
      <c r="A12" s="2" t="s">
        <v>62</v>
      </c>
      <c r="B12" s="9">
        <v>2102977</v>
      </c>
      <c r="C12" s="7">
        <v>1.7</v>
      </c>
      <c r="D12" s="7">
        <v>10</v>
      </c>
      <c r="E12" s="7">
        <v>4</v>
      </c>
      <c r="F12" s="7">
        <f>50-((C12*D12)+E12)</f>
        <v>29</v>
      </c>
      <c r="G12" s="7">
        <f>G11-50</f>
        <v>50</v>
      </c>
      <c r="H12" s="3">
        <v>1.05</v>
      </c>
      <c r="I12" s="9">
        <f t="shared" si="0"/>
        <v>20910.282670454544</v>
      </c>
    </row>
    <row r="13" spans="1:9" ht="12">
      <c r="A13" s="2" t="s">
        <v>64</v>
      </c>
      <c r="B13" s="9">
        <v>3078870</v>
      </c>
      <c r="I13" s="9">
        <f>SUM(I7:I12)</f>
        <v>50224.631155303025</v>
      </c>
    </row>
    <row r="14" ht="12">
      <c r="B14" s="9" t="s">
        <v>58</v>
      </c>
    </row>
    <row r="15" ht="12">
      <c r="A15" s="1" t="s">
        <v>54</v>
      </c>
    </row>
    <row r="16" spans="1:9" ht="12">
      <c r="A16" s="2" t="s">
        <v>48</v>
      </c>
      <c r="B16" s="9">
        <v>13491</v>
      </c>
      <c r="C16" s="7">
        <v>5.4</v>
      </c>
      <c r="D16" s="7">
        <v>12</v>
      </c>
      <c r="E16" s="8" t="s">
        <v>76</v>
      </c>
      <c r="F16" s="8" t="s">
        <v>76</v>
      </c>
      <c r="G16" s="7">
        <f aca="true" t="shared" si="1" ref="G16:G21">(D16*C16)</f>
        <v>64.80000000000001</v>
      </c>
      <c r="H16" s="3">
        <v>1</v>
      </c>
      <c r="I16" s="9">
        <f aca="true" t="shared" si="2" ref="I16:I21">(B16*G16*H16)/5280</f>
        <v>165.57136363636366</v>
      </c>
    </row>
    <row r="17" spans="1:9" ht="12">
      <c r="A17" s="2" t="s">
        <v>55</v>
      </c>
      <c r="B17" s="9">
        <v>9175</v>
      </c>
      <c r="C17" s="7">
        <v>4.5</v>
      </c>
      <c r="D17" s="7">
        <v>12</v>
      </c>
      <c r="E17" s="8" t="s">
        <v>76</v>
      </c>
      <c r="F17" s="8" t="s">
        <v>76</v>
      </c>
      <c r="G17" s="7">
        <f t="shared" si="1"/>
        <v>54</v>
      </c>
      <c r="H17" s="3">
        <v>1</v>
      </c>
      <c r="I17" s="9">
        <f t="shared" si="2"/>
        <v>93.83522727272727</v>
      </c>
    </row>
    <row r="18" spans="1:9" ht="12">
      <c r="A18" s="2" t="s">
        <v>63</v>
      </c>
      <c r="B18" s="9">
        <v>53447</v>
      </c>
      <c r="C18" s="7">
        <v>3.4</v>
      </c>
      <c r="D18" s="7">
        <v>11.5</v>
      </c>
      <c r="E18" s="8" t="s">
        <v>76</v>
      </c>
      <c r="F18" s="8" t="s">
        <v>76</v>
      </c>
      <c r="G18" s="7">
        <f t="shared" si="1"/>
        <v>39.1</v>
      </c>
      <c r="H18" s="3">
        <v>1</v>
      </c>
      <c r="I18" s="9">
        <f t="shared" si="2"/>
        <v>395.7912310606061</v>
      </c>
    </row>
    <row r="19" spans="1:9" ht="12">
      <c r="A19" s="2" t="s">
        <v>49</v>
      </c>
      <c r="B19" s="9">
        <v>89911</v>
      </c>
      <c r="C19" s="7">
        <v>2.5</v>
      </c>
      <c r="D19" s="7">
        <v>11.3</v>
      </c>
      <c r="E19" s="8" t="s">
        <v>76</v>
      </c>
      <c r="F19" s="8" t="s">
        <v>76</v>
      </c>
      <c r="G19" s="7">
        <f t="shared" si="1"/>
        <v>28.25</v>
      </c>
      <c r="H19" s="3">
        <v>1</v>
      </c>
      <c r="I19" s="9">
        <f t="shared" si="2"/>
        <v>481.0579071969697</v>
      </c>
    </row>
    <row r="20" spans="1:9" ht="12">
      <c r="A20" s="2" t="s">
        <v>56</v>
      </c>
      <c r="B20" s="9">
        <v>88604</v>
      </c>
      <c r="C20" s="7">
        <v>2.1</v>
      </c>
      <c r="D20" s="7">
        <v>11.1</v>
      </c>
      <c r="E20" s="8" t="s">
        <v>76</v>
      </c>
      <c r="F20" s="8" t="s">
        <v>76</v>
      </c>
      <c r="G20" s="7">
        <f t="shared" si="1"/>
        <v>23.31</v>
      </c>
      <c r="H20" s="3">
        <v>1.01</v>
      </c>
      <c r="I20" s="9">
        <f t="shared" si="2"/>
        <v>395.07818795454546</v>
      </c>
    </row>
    <row r="21" spans="1:9" ht="12">
      <c r="A21" s="2" t="s">
        <v>62</v>
      </c>
      <c r="B21" s="9">
        <v>598514</v>
      </c>
      <c r="C21" s="7">
        <v>1.8</v>
      </c>
      <c r="D21" s="7">
        <v>10.9</v>
      </c>
      <c r="E21" s="8" t="s">
        <v>76</v>
      </c>
      <c r="F21" s="8" t="s">
        <v>76</v>
      </c>
      <c r="G21" s="7">
        <f t="shared" si="1"/>
        <v>19.62</v>
      </c>
      <c r="H21" s="3">
        <v>1.03</v>
      </c>
      <c r="I21" s="9">
        <f t="shared" si="2"/>
        <v>2290.7443220454547</v>
      </c>
    </row>
    <row r="22" spans="1:9" ht="12">
      <c r="A22" s="2" t="s">
        <v>65</v>
      </c>
      <c r="B22" s="9">
        <f>SUM(B16:B21)</f>
        <v>853142</v>
      </c>
      <c r="I22" s="9">
        <f>SUM(I16:I21)</f>
        <v>3822.078239166667</v>
      </c>
    </row>
    <row r="24" spans="1:9" s="1" customFormat="1" ht="12">
      <c r="A24" s="1" t="s">
        <v>52</v>
      </c>
      <c r="B24" s="11">
        <f>B13+B22</f>
        <v>3932012</v>
      </c>
      <c r="I24" s="11">
        <f>I13+I22</f>
        <v>54046.70939446969</v>
      </c>
    </row>
    <row r="26" ht="12">
      <c r="A26" s="1" t="s">
        <v>18</v>
      </c>
    </row>
    <row r="27" ht="12">
      <c r="A27" s="2" t="s">
        <v>20</v>
      </c>
    </row>
    <row r="28" ht="12">
      <c r="A28" s="2" t="s">
        <v>19</v>
      </c>
    </row>
    <row r="30" ht="12">
      <c r="A30" s="2" t="s">
        <v>5</v>
      </c>
    </row>
    <row r="31" ht="12">
      <c r="A31" s="2" t="s">
        <v>66</v>
      </c>
    </row>
    <row r="32" ht="12">
      <c r="A32" s="2" t="s">
        <v>30</v>
      </c>
    </row>
    <row r="33" ht="12">
      <c r="A33" s="2" t="s">
        <v>4</v>
      </c>
    </row>
    <row r="34" ht="12">
      <c r="A34" s="2" t="s">
        <v>3</v>
      </c>
    </row>
  </sheetData>
  <printOptions gridLines="1"/>
  <pageMargins left="0.75" right="0.75" top="1" bottom="1" header="0.5" footer="0.5"/>
  <pageSetup horizontalDpi="600" verticalDpi="600" orientation="landscape" scale="9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A1" sqref="A1"/>
    </sheetView>
  </sheetViews>
  <sheetFormatPr defaultColWidth="14.8515625" defaultRowHeight="12.75"/>
  <cols>
    <col min="1" max="2" width="17.7109375" style="14" customWidth="1"/>
    <col min="3" max="4" width="13.00390625" style="14" customWidth="1"/>
    <col min="5" max="5" width="20.8515625" style="14" customWidth="1"/>
    <col min="6" max="6" width="25.421875" style="14" customWidth="1"/>
    <col min="7" max="7" width="27.7109375" style="14" customWidth="1"/>
    <col min="8" max="8" width="1.28515625" style="14" customWidth="1"/>
    <col min="9" max="16384" width="14.8515625" style="14" customWidth="1"/>
  </cols>
  <sheetData>
    <row r="1" ht="16.5">
      <c r="A1" s="13" t="s">
        <v>88</v>
      </c>
    </row>
    <row r="2" ht="16.5">
      <c r="A2" s="1" t="s">
        <v>58</v>
      </c>
    </row>
    <row r="3" spans="1:7" s="17" customFormat="1" ht="105.75" customHeight="1">
      <c r="A3" s="15" t="s">
        <v>32</v>
      </c>
      <c r="B3" s="16" t="s">
        <v>43</v>
      </c>
      <c r="C3" s="16" t="s">
        <v>78</v>
      </c>
      <c r="D3" s="16" t="s">
        <v>79</v>
      </c>
      <c r="E3" s="18" t="s">
        <v>83</v>
      </c>
      <c r="F3" s="18" t="s">
        <v>82</v>
      </c>
      <c r="G3" s="16" t="s">
        <v>84</v>
      </c>
    </row>
    <row r="4" spans="2:7" s="17" customFormat="1" ht="52.5" customHeight="1">
      <c r="B4" s="17" t="s">
        <v>74</v>
      </c>
      <c r="C4" s="17" t="s">
        <v>80</v>
      </c>
      <c r="D4" s="17" t="s">
        <v>77</v>
      </c>
      <c r="E4" s="17" t="s">
        <v>34</v>
      </c>
      <c r="F4" s="17" t="s">
        <v>34</v>
      </c>
      <c r="G4" s="17" t="s">
        <v>34</v>
      </c>
    </row>
    <row r="6" spans="1:7" ht="16.5">
      <c r="A6" s="14" t="s">
        <v>42</v>
      </c>
      <c r="B6" s="14">
        <v>213509100</v>
      </c>
      <c r="C6" s="14">
        <v>30</v>
      </c>
      <c r="D6" s="14">
        <v>3</v>
      </c>
      <c r="E6" s="14">
        <f>(B6*C6*D6)/10000</f>
        <v>1921581.9</v>
      </c>
      <c r="F6" s="14">
        <f>(US!I24*258.9988101)</f>
        <v>13998033.422988143</v>
      </c>
      <c r="G6" s="14">
        <f>E6+F6</f>
        <v>15919615.322988143</v>
      </c>
    </row>
    <row r="7" s="26" customFormat="1" ht="16.5"/>
    <row r="9" ht="16.5">
      <c r="A9" s="14" t="s">
        <v>81</v>
      </c>
    </row>
    <row r="10" ht="16.5">
      <c r="A10" s="14" t="s">
        <v>6</v>
      </c>
    </row>
    <row r="11" ht="16.5">
      <c r="A11" s="14" t="s">
        <v>10</v>
      </c>
    </row>
    <row r="12" ht="16.5">
      <c r="A12" s="14" t="s">
        <v>90</v>
      </c>
    </row>
  </sheetData>
  <printOptions gridLines="1"/>
  <pageMargins left="0.75" right="0.75" top="1" bottom="1" header="0.5" footer="0.5"/>
  <pageSetup horizontalDpi="600" verticalDpi="600" orientation="landscape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A1" sqref="A1"/>
    </sheetView>
  </sheetViews>
  <sheetFormatPr defaultColWidth="9.140625" defaultRowHeight="12.75"/>
  <cols>
    <col min="1" max="1" width="18.7109375" style="20" customWidth="1"/>
    <col min="2" max="2" width="14.00390625" style="20" customWidth="1"/>
    <col min="3" max="3" width="18.421875" style="20" customWidth="1"/>
    <col min="4" max="4" width="18.00390625" style="20" customWidth="1"/>
    <col min="5" max="5" width="19.8515625" style="20" customWidth="1"/>
    <col min="6" max="6" width="26.8515625" style="20" customWidth="1"/>
    <col min="7" max="7" width="9.140625" style="20" hidden="1" customWidth="1"/>
    <col min="8" max="16384" width="9.140625" style="20" customWidth="1"/>
  </cols>
  <sheetData>
    <row r="1" spans="1:3" ht="12.75">
      <c r="A1" s="19" t="s">
        <v>31</v>
      </c>
      <c r="B1" s="19"/>
      <c r="C1" s="19"/>
    </row>
    <row r="2" ht="12.75">
      <c r="A2" s="1" t="s">
        <v>58</v>
      </c>
    </row>
    <row r="3" spans="1:6" s="23" customFormat="1" ht="86.25" customHeight="1">
      <c r="A3" s="21" t="s">
        <v>32</v>
      </c>
      <c r="B3" s="22" t="s">
        <v>45</v>
      </c>
      <c r="C3" s="22" t="s">
        <v>68</v>
      </c>
      <c r="D3" s="22" t="s">
        <v>25</v>
      </c>
      <c r="E3" s="22" t="s">
        <v>43</v>
      </c>
      <c r="F3" s="22" t="s">
        <v>84</v>
      </c>
    </row>
    <row r="4" spans="2:6" s="23" customFormat="1" ht="27.75" customHeight="1">
      <c r="B4" s="23" t="s">
        <v>46</v>
      </c>
      <c r="C4" s="23" t="s">
        <v>34</v>
      </c>
      <c r="D4" s="23" t="s">
        <v>33</v>
      </c>
      <c r="E4" s="23" t="s">
        <v>74</v>
      </c>
      <c r="F4" s="23" t="s">
        <v>34</v>
      </c>
    </row>
    <row r="5" s="23" customFormat="1" ht="12.75"/>
    <row r="6" spans="1:6" ht="12.75">
      <c r="A6" s="20" t="s">
        <v>42</v>
      </c>
      <c r="B6" s="20">
        <v>278.4</v>
      </c>
      <c r="C6" s="12">
        <v>915896000</v>
      </c>
      <c r="D6" s="20">
        <v>6310000</v>
      </c>
      <c r="E6" s="20">
        <v>213509100</v>
      </c>
      <c r="F6" s="20">
        <v>15919615</v>
      </c>
    </row>
    <row r="8" spans="1:6" ht="12.75">
      <c r="A8" s="20" t="s">
        <v>40</v>
      </c>
      <c r="B8" s="20">
        <v>31.1</v>
      </c>
      <c r="C8" s="20">
        <v>922097000</v>
      </c>
      <c r="D8" s="20">
        <v>902000</v>
      </c>
      <c r="E8" s="20">
        <v>17262358</v>
      </c>
      <c r="F8" s="20">
        <f>D8*2.5229</f>
        <v>2275655.8</v>
      </c>
    </row>
    <row r="9" spans="1:6" ht="12.75">
      <c r="A9" s="20" t="s">
        <v>41</v>
      </c>
      <c r="B9" s="20">
        <v>98.9</v>
      </c>
      <c r="C9" s="20">
        <v>192304000</v>
      </c>
      <c r="D9" s="20">
        <v>342000</v>
      </c>
      <c r="E9" s="20">
        <v>7850000</v>
      </c>
      <c r="F9" s="20">
        <f>D9*2.5229</f>
        <v>862831.7999999999</v>
      </c>
    </row>
    <row r="11" spans="1:6" ht="12.75">
      <c r="A11" s="20" t="s">
        <v>35</v>
      </c>
      <c r="B11" s="20">
        <v>126.7</v>
      </c>
      <c r="C11" s="20">
        <v>37474400</v>
      </c>
      <c r="D11" s="20">
        <v>1152000</v>
      </c>
      <c r="E11" s="20">
        <v>71722762</v>
      </c>
      <c r="F11" s="20">
        <f>D11*2.5229*0.453</f>
        <v>1316590.5023999999</v>
      </c>
    </row>
    <row r="12" spans="1:6" ht="12.75">
      <c r="A12" s="20" t="s">
        <v>36</v>
      </c>
      <c r="B12" s="20">
        <v>59.1</v>
      </c>
      <c r="C12" s="20">
        <v>54563000</v>
      </c>
      <c r="D12" s="20">
        <v>893000</v>
      </c>
      <c r="E12" s="20">
        <v>33089000</v>
      </c>
      <c r="F12" s="20">
        <f>D12*2.5229*0.453</f>
        <v>1020586.2140999999</v>
      </c>
    </row>
    <row r="13" spans="1:6" ht="12.75">
      <c r="A13" s="20" t="s">
        <v>37</v>
      </c>
      <c r="B13" s="20">
        <v>82.2</v>
      </c>
      <c r="C13" s="20">
        <v>34922300</v>
      </c>
      <c r="D13" s="20">
        <v>656000</v>
      </c>
      <c r="E13" s="20">
        <v>45793265</v>
      </c>
      <c r="F13" s="20">
        <f>D13*2.5229*0.453</f>
        <v>749725.1472</v>
      </c>
    </row>
    <row r="14" spans="1:6" ht="12.75">
      <c r="A14" s="20" t="s">
        <v>39</v>
      </c>
      <c r="B14" s="20">
        <v>58.8</v>
      </c>
      <c r="C14" s="20">
        <v>24159000</v>
      </c>
      <c r="D14" s="20">
        <v>372000</v>
      </c>
      <c r="E14" s="20">
        <v>30931191</v>
      </c>
      <c r="F14" s="20">
        <f>D14*2.5229*0.453</f>
        <v>425149.01639999996</v>
      </c>
    </row>
    <row r="15" spans="1:6" ht="12.75">
      <c r="A15" s="20" t="s">
        <v>38</v>
      </c>
      <c r="B15" s="20">
        <v>8.9</v>
      </c>
      <c r="C15" s="20">
        <v>41093400</v>
      </c>
      <c r="D15" s="20">
        <v>211000</v>
      </c>
      <c r="E15" s="20">
        <v>4259027</v>
      </c>
      <c r="F15" s="20">
        <f>D15*2.5229*0.453</f>
        <v>241146.3507</v>
      </c>
    </row>
    <row r="17" spans="4:5" ht="12.75">
      <c r="D17" s="25" t="s">
        <v>58</v>
      </c>
      <c r="E17" s="27" t="s">
        <v>58</v>
      </c>
    </row>
    <row r="18" ht="12.75">
      <c r="A18" s="20" t="s">
        <v>81</v>
      </c>
    </row>
    <row r="19" ht="12.75">
      <c r="A19" s="20" t="s">
        <v>7</v>
      </c>
    </row>
    <row r="20" ht="12.75">
      <c r="A20" s="20" t="s">
        <v>11</v>
      </c>
    </row>
    <row r="21" spans="1:5" ht="12.75">
      <c r="A21" s="20" t="s">
        <v>12</v>
      </c>
      <c r="E21" s="24"/>
    </row>
    <row r="22" ht="12.75">
      <c r="A22" s="39" t="s">
        <v>8</v>
      </c>
    </row>
    <row r="23" ht="12.75">
      <c r="A23" s="20" t="s">
        <v>9</v>
      </c>
    </row>
  </sheetData>
  <printOptions gridLines="1"/>
  <pageMargins left="0.75" right="0.75" top="1" bottom="1" header="0.5" footer="0.5"/>
  <pageSetup horizontalDpi="600" verticalDpi="6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A1" sqref="A1"/>
    </sheetView>
  </sheetViews>
  <sheetFormatPr defaultColWidth="24.28125" defaultRowHeight="12.75"/>
  <cols>
    <col min="1" max="1" width="11.8515625" style="14" customWidth="1"/>
    <col min="2" max="2" width="15.00390625" style="14" customWidth="1"/>
    <col min="3" max="3" width="15.28125" style="14" customWidth="1"/>
    <col min="4" max="4" width="15.00390625" style="14" customWidth="1"/>
    <col min="5" max="5" width="20.00390625" style="14" customWidth="1"/>
    <col min="6" max="6" width="23.421875" style="14" customWidth="1"/>
    <col min="7" max="7" width="26.00390625" style="14" customWidth="1"/>
    <col min="8" max="8" width="28.28125" style="14" customWidth="1"/>
    <col min="9" max="16384" width="24.28125" style="14" customWidth="1"/>
  </cols>
  <sheetData>
    <row r="1" ht="16.5">
      <c r="A1" s="13" t="s">
        <v>89</v>
      </c>
    </row>
    <row r="2" ht="16.5">
      <c r="A2" s="40" t="s">
        <v>58</v>
      </c>
    </row>
    <row r="3" spans="1:8" s="17" customFormat="1" ht="170.25" customHeight="1">
      <c r="A3" s="15" t="s">
        <v>32</v>
      </c>
      <c r="B3" s="16" t="s">
        <v>72</v>
      </c>
      <c r="C3" s="16" t="s">
        <v>23</v>
      </c>
      <c r="D3" s="16" t="s">
        <v>25</v>
      </c>
      <c r="E3" s="16" t="s">
        <v>86</v>
      </c>
      <c r="F3" s="16" t="s">
        <v>73</v>
      </c>
      <c r="G3" s="16" t="s">
        <v>71</v>
      </c>
      <c r="H3" s="16" t="s">
        <v>85</v>
      </c>
    </row>
    <row r="4" spans="2:8" s="26" customFormat="1" ht="75.75" customHeight="1">
      <c r="B4" s="17" t="s">
        <v>74</v>
      </c>
      <c r="C4" s="17" t="s">
        <v>24</v>
      </c>
      <c r="D4" s="17" t="s">
        <v>33</v>
      </c>
      <c r="E4" s="17" t="s">
        <v>34</v>
      </c>
      <c r="F4" s="17" t="s">
        <v>74</v>
      </c>
      <c r="G4" s="26" t="s">
        <v>34</v>
      </c>
      <c r="H4" s="26" t="s">
        <v>34</v>
      </c>
    </row>
    <row r="6" spans="1:8" ht="16.5">
      <c r="A6" s="14" t="s">
        <v>70</v>
      </c>
      <c r="B6" s="14">
        <v>8200000</v>
      </c>
      <c r="C6" s="14">
        <v>8</v>
      </c>
      <c r="D6" s="14">
        <v>3319614</v>
      </c>
      <c r="E6" s="14">
        <f>D6*2.5229*0.453</f>
        <v>3793899.5347518004</v>
      </c>
      <c r="F6" s="14">
        <f>B6*(500/C6)</f>
        <v>512500000</v>
      </c>
      <c r="G6" s="14">
        <f>H6-E6</f>
        <v>6456100.465248199</v>
      </c>
      <c r="H6" s="14">
        <f>F6*0.02</f>
        <v>10250000</v>
      </c>
    </row>
    <row r="7" spans="5:8" ht="16.5">
      <c r="E7" s="14" t="s">
        <v>58</v>
      </c>
      <c r="F7" s="14" t="s">
        <v>58</v>
      </c>
      <c r="H7" s="14" t="s">
        <v>58</v>
      </c>
    </row>
    <row r="8" spans="1:8" ht="16.5">
      <c r="A8" s="14" t="s">
        <v>69</v>
      </c>
      <c r="B8" s="14">
        <v>12800000</v>
      </c>
      <c r="C8" s="14">
        <v>10</v>
      </c>
      <c r="D8" s="14">
        <v>1210000</v>
      </c>
      <c r="E8" s="14">
        <f>D8*2.5229*0.453</f>
        <v>1382877.1770000001</v>
      </c>
      <c r="F8" s="14">
        <f>B8*(500/C8)</f>
        <v>640000000</v>
      </c>
      <c r="G8" s="14">
        <f>H8-E8</f>
        <v>11417122.822999999</v>
      </c>
      <c r="H8" s="14">
        <f>F8*0.02</f>
        <v>12800000</v>
      </c>
    </row>
    <row r="10" ht="16.5">
      <c r="A10" s="14" t="s">
        <v>81</v>
      </c>
    </row>
    <row r="11" ht="16.5">
      <c r="A11" s="14" t="s">
        <v>13</v>
      </c>
    </row>
    <row r="12" ht="16.5">
      <c r="A12" s="14" t="s">
        <v>15</v>
      </c>
    </row>
    <row r="13" ht="16.5">
      <c r="A13" s="14" t="s">
        <v>14</v>
      </c>
    </row>
  </sheetData>
  <printOptions gridLines="1"/>
  <pageMargins left="0.75" right="0.75" top="1" bottom="1" header="0.5" footer="0.5"/>
  <pageSetup horizontalDpi="600" verticalDpi="600" orientation="landscape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Janet Larsen</dc:creator>
  <cp:keywords/>
  <dc:description/>
  <cp:lastModifiedBy>Jessica Robbins</cp:lastModifiedBy>
  <cp:lastPrinted>2001-02-13T15:47:00Z</cp:lastPrinted>
  <dcterms:created xsi:type="dcterms:W3CDTF">2001-01-23T18:45:51Z</dcterms:created>
  <dcterms:modified xsi:type="dcterms:W3CDTF">2009-04-08T04:31:27Z</dcterms:modified>
  <cp:category/>
  <cp:version/>
  <cp:contentType/>
  <cp:contentStatus/>
</cp:coreProperties>
</file>